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irparo\Internet\Metsafi\2019\Freshabit\Hankeaineistot nettiin\Uudet\"/>
    </mc:Choice>
  </mc:AlternateContent>
  <xr:revisionPtr revIDLastSave="0" documentId="8_{67EF7EF7-1607-44C0-A437-4EFDEC93B38E}" xr6:coauthVersionLast="41" xr6:coauthVersionMax="41" xr10:uidLastSave="{00000000-0000-0000-0000-000000000000}"/>
  <workbookProtection workbookAlgorithmName="SHA-512" workbookHashValue="GItkBnUjcQqbYChKdQodAbRFGAQ+sCx5Hkq65DgwqVMphaxd+qNfyQQY3IrOqL31LeasaLyoo/tBHytuJ5dg+g==" workbookSaltValue="cMZotgUKSGiUHy1mjcwUpg==" workbookSpinCount="100000" lockStructure="1"/>
  <bookViews>
    <workbookView xWindow="29730" yWindow="840" windowWidth="26535" windowHeight="15300" xr2:uid="{00000000-000D-0000-FFFF-FFFF00000000}"/>
  </bookViews>
  <sheets>
    <sheet name="Puron_arviointi" sheetId="2" r:id="rId1"/>
    <sheet name="Laskentapohja" sheetId="1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E19" i="1" l="1"/>
  <c r="C23" i="2" l="1"/>
  <c r="C15" i="2"/>
  <c r="C37" i="1"/>
  <c r="C19" i="1"/>
  <c r="D19" i="1"/>
  <c r="D37" i="1"/>
  <c r="E20" i="1" l="1"/>
  <c r="D20" i="1"/>
  <c r="B19" i="1"/>
  <c r="E38" i="1" l="1"/>
  <c r="G37" i="1"/>
  <c r="C16" i="2" s="1"/>
  <c r="C17" i="2" s="1"/>
  <c r="D38" i="1"/>
  <c r="I23" i="1"/>
  <c r="J23" i="1"/>
  <c r="K23" i="1"/>
  <c r="L23" i="1"/>
  <c r="I24" i="1"/>
  <c r="J24" i="1"/>
  <c r="K24" i="1"/>
  <c r="L24" i="1"/>
  <c r="I25" i="1"/>
  <c r="J25" i="1"/>
  <c r="K25" i="1"/>
  <c r="L25" i="1"/>
  <c r="H25" i="1"/>
  <c r="H24" i="1"/>
  <c r="H23" i="1"/>
  <c r="C24" i="1" l="1"/>
  <c r="D24" i="1" l="1"/>
  <c r="E24" i="1"/>
  <c r="C25" i="1"/>
  <c r="D25" i="1"/>
  <c r="E25" i="1"/>
  <c r="C26" i="1"/>
  <c r="D26" i="1"/>
  <c r="E26" i="1"/>
  <c r="C27" i="1"/>
  <c r="D27" i="1"/>
  <c r="E27" i="1"/>
  <c r="E23" i="1"/>
  <c r="D23" i="1"/>
  <c r="C23" i="1"/>
  <c r="G13" i="1" a="1"/>
  <c r="H13" i="1" s="1"/>
  <c r="I15" i="1" l="1"/>
  <c r="G13" i="1"/>
  <c r="H15" i="1"/>
  <c r="H14" i="1"/>
  <c r="G14" i="1"/>
  <c r="G15" i="1"/>
  <c r="I13" i="1"/>
  <c r="I14" i="1"/>
  <c r="L17" i="1" l="1" a="1"/>
  <c r="L16" i="1" a="1"/>
  <c r="L15" i="1" a="1"/>
  <c r="L14" i="1" a="1"/>
  <c r="L13" i="1" a="1"/>
  <c r="L17" i="1" l="1"/>
  <c r="N17" i="1"/>
  <c r="M17" i="1"/>
  <c r="L14" i="1"/>
  <c r="N14" i="1"/>
  <c r="M14" i="1"/>
  <c r="L15" i="1"/>
  <c r="N15" i="1"/>
  <c r="M15" i="1"/>
  <c r="L16" i="1"/>
  <c r="M16" i="1"/>
  <c r="N16" i="1"/>
  <c r="L13" i="1"/>
  <c r="N13" i="1"/>
  <c r="M13" i="1"/>
  <c r="R22" i="1" l="1" a="1"/>
  <c r="R22" i="1" s="1"/>
  <c r="R26" i="1" s="1"/>
  <c r="O22" i="1" a="1"/>
  <c r="O22" i="1" s="1"/>
  <c r="O26" i="1" s="1"/>
  <c r="S22" i="1" a="1"/>
  <c r="S22" i="1" s="1"/>
  <c r="P22" i="1" a="1"/>
  <c r="P22" i="1" s="1"/>
  <c r="Q22" i="1" a="1"/>
  <c r="Q22" i="1" s="1"/>
  <c r="R23" i="1" l="1"/>
  <c r="Q26" i="1"/>
  <c r="Q23" i="1"/>
  <c r="P26" i="1"/>
  <c r="P23" i="1"/>
  <c r="S26" i="1"/>
  <c r="S23" i="1"/>
  <c r="O23" i="1"/>
  <c r="O29" i="1" l="1"/>
  <c r="O32" i="1" s="1"/>
  <c r="Q29" i="1"/>
  <c r="Q32" i="1" s="1"/>
  <c r="R29" i="1"/>
  <c r="R32" i="1" s="1"/>
  <c r="S29" i="1"/>
  <c r="S32" i="1" s="1"/>
  <c r="P29" i="1"/>
  <c r="P32" i="1" s="1"/>
  <c r="P37" i="1" l="1"/>
  <c r="C25" i="2" s="1"/>
  <c r="O37" i="1"/>
  <c r="C24" i="2" s="1"/>
  <c r="S37" i="1"/>
  <c r="C28" i="2" s="1"/>
  <c r="R37" i="1"/>
  <c r="Q37" i="1"/>
  <c r="C26" i="2" s="1"/>
  <c r="C27" i="2" l="1"/>
  <c r="R38" i="1"/>
  <c r="O38" i="1"/>
  <c r="Q38" i="1"/>
  <c r="P38" i="1"/>
  <c r="S38" i="1"/>
</calcChain>
</file>

<file path=xl/sharedStrings.xml><?xml version="1.0" encoding="utf-8"?>
<sst xmlns="http://schemas.openxmlformats.org/spreadsheetml/2006/main" count="88" uniqueCount="64">
  <si>
    <t>OJIT_OS</t>
  </si>
  <si>
    <t>ln_mutkaisuus</t>
  </si>
  <si>
    <t>ln_mez_9_13</t>
  </si>
  <si>
    <t xml:space="preserve">ln_mez_9 </t>
  </si>
  <si>
    <t>Inverse covariance matrix</t>
  </si>
  <si>
    <t>Poikkeama ryhmien keskiarvoista</t>
  </si>
  <si>
    <t>Ryhmien keskiarvot</t>
  </si>
  <si>
    <t>Transponoidut poikkeamat</t>
  </si>
  <si>
    <t>Pooled Covariance Matrix</t>
  </si>
  <si>
    <t>Prior</t>
  </si>
  <si>
    <t>MD</t>
  </si>
  <si>
    <t>Dist_1</t>
  </si>
  <si>
    <t>Dist_2</t>
  </si>
  <si>
    <t>Dist_3</t>
  </si>
  <si>
    <t>Dist_4</t>
  </si>
  <si>
    <t>Dist_5</t>
  </si>
  <si>
    <t>Poikkeama X inverse matrix</t>
  </si>
  <si>
    <t>D2</t>
  </si>
  <si>
    <t>expD2</t>
  </si>
  <si>
    <t>Ratio_D2</t>
  </si>
  <si>
    <t>Luokka</t>
  </si>
  <si>
    <t>Luokiteltava puro</t>
  </si>
  <si>
    <t>Poikkeamaxinverse matrix x transponoidut poikkeamat</t>
  </si>
  <si>
    <t>D2xPrior</t>
  </si>
  <si>
    <t>Luokiteltavan paikan muuttujien arvot</t>
  </si>
  <si>
    <t>Regressiomalli</t>
  </si>
  <si>
    <t>Erotteluanalyysi</t>
  </si>
  <si>
    <t>Todennököisyys kuulua tilaluokikiin</t>
  </si>
  <si>
    <t>Luokka 1</t>
  </si>
  <si>
    <t>Luokka 2</t>
  </si>
  <si>
    <t>Luokka 3</t>
  </si>
  <si>
    <t>Luokka 4</t>
  </si>
  <si>
    <t>Luokka 5</t>
  </si>
  <si>
    <t>Lianoja</t>
  </si>
  <si>
    <t>Regressiolla ennustettu luonnontilaisuus</t>
  </si>
  <si>
    <t>Transponoidut ryhmien keskiarvot</t>
  </si>
  <si>
    <t xml:space="preserve">ln_mez_9-13 </t>
  </si>
  <si>
    <t>Puron nimi</t>
  </si>
  <si>
    <t>eksponentti(x)</t>
  </si>
  <si>
    <t>%</t>
  </si>
  <si>
    <t>ln_mez_9-13</t>
  </si>
  <si>
    <t>Puron inventointipistearvon arviointimalli Iijoen vesistöalueelle</t>
  </si>
  <si>
    <t>Perustuu regressiomalliin (ks tekninen raportti)</t>
  </si>
  <si>
    <t>1. Syötä soluihin C8-C11 arvioitavan puron tiedot</t>
  </si>
  <si>
    <t>Tulos perustuu erotteluanalyysimalliin (ks tekninen raportti)</t>
  </si>
  <si>
    <t>2. Tähän tulostuu purolle ennustettu inventointipistearvo ("luonnontilaisuus")</t>
  </si>
  <si>
    <t>3. Tähän tulostuu puron todennäköisyys (%) kuulua inventoinnin eri tilaluokkiin</t>
  </si>
  <si>
    <t>ÄLÄ MUUTA TAULUKON ARVOJA!</t>
  </si>
  <si>
    <t>Ennustettu tilaluokka</t>
  </si>
  <si>
    <t>Ennustettu inventointipistearvo</t>
  </si>
  <si>
    <t>Luokan 1 todennäköisyys</t>
  </si>
  <si>
    <t>Luokan 2 todennäköisyys</t>
  </si>
  <si>
    <t>Luokan 3 todennäköisyys</t>
  </si>
  <si>
    <t>Luokan 4 todennäköisyys</t>
  </si>
  <si>
    <t>Luokan 5 todennäköisyys</t>
  </si>
  <si>
    <t>FRESHABIT LIFE IP HANKE, © Suomen ympäristökeskus</t>
  </si>
  <si>
    <t>Zonation prioriteettiyhdistelmien 9-13 osuus valuma-alueen alasta (%)</t>
  </si>
  <si>
    <t>Ojitettujen turvemaiden osuus kaikista valuma-alueen turvemaista (%)</t>
  </si>
  <si>
    <t>Mutkaisuusindeksin arvo</t>
  </si>
  <si>
    <t>TESTIPURO</t>
  </si>
  <si>
    <t>Laskentapohja, ver 1.0, 10.9.2019</t>
  </si>
  <si>
    <t>Hanke on saanut rahoitusta Euroopan unionin LIFE-ohjelmasta.</t>
  </si>
  <si>
    <t xml:space="preserve">Aineiston sisältö heijastelee sen tekijöiden näkemyksiä, </t>
  </si>
  <si>
    <t>eikä Euroopan komissio tai EASME ole vastuussa aineiston sisältämien tietojen käytöstä.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</si>
</sst>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4" borderId="15" applyNumberFormat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Fill="1" applyBorder="1"/>
    <xf numFmtId="0" fontId="2" fillId="0" borderId="2" xfId="0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0" fillId="3" borderId="9" xfId="0" applyFill="1" applyBorder="1"/>
    <xf numFmtId="164" fontId="1" fillId="3" borderId="6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/>
    <xf numFmtId="0" fontId="3" fillId="0" borderId="6" xfId="0" applyFont="1" applyFill="1" applyBorder="1" applyAlignment="1" applyProtection="1"/>
    <xf numFmtId="0" fontId="0" fillId="0" borderId="7" xfId="0" applyFill="1" applyBorder="1"/>
    <xf numFmtId="0" fontId="3" fillId="0" borderId="7" xfId="0" applyFont="1" applyFill="1" applyBorder="1" applyAlignment="1" applyProtection="1"/>
    <xf numFmtId="0" fontId="1" fillId="0" borderId="4" xfId="0" applyFont="1" applyBorder="1"/>
    <xf numFmtId="0" fontId="1" fillId="0" borderId="0" xfId="0" applyFont="1" applyBorder="1"/>
    <xf numFmtId="164" fontId="0" fillId="0" borderId="0" xfId="0" applyNumberFormat="1" applyBorder="1"/>
    <xf numFmtId="164" fontId="0" fillId="0" borderId="5" xfId="0" applyNumberFormat="1" applyBorder="1"/>
    <xf numFmtId="0" fontId="1" fillId="0" borderId="2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0" borderId="2" xfId="0" applyFont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5" fontId="0" fillId="0" borderId="0" xfId="0" applyNumberFormat="1" applyFill="1" applyBorder="1" applyAlignment="1"/>
    <xf numFmtId="165" fontId="0" fillId="0" borderId="5" xfId="0" applyNumberFormat="1" applyBorder="1"/>
    <xf numFmtId="165" fontId="0" fillId="0" borderId="7" xfId="0" applyNumberFormat="1" applyFill="1" applyBorder="1" applyAlignment="1"/>
    <xf numFmtId="165" fontId="0" fillId="0" borderId="8" xfId="0" applyNumberFormat="1" applyBorder="1"/>
    <xf numFmtId="164" fontId="0" fillId="0" borderId="0" xfId="0" applyNumberFormat="1" applyFill="1" applyBorder="1" applyAlignment="1"/>
    <xf numFmtId="164" fontId="0" fillId="0" borderId="7" xfId="0" applyNumberFormat="1" applyFill="1" applyBorder="1" applyAlignment="1"/>
    <xf numFmtId="164" fontId="0" fillId="0" borderId="8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7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7" xfId="0" applyNumberFormat="1" applyBorder="1"/>
    <xf numFmtId="164" fontId="0" fillId="0" borderId="0" xfId="0" applyNumberFormat="1" applyFont="1" applyBorder="1"/>
    <xf numFmtId="164" fontId="0" fillId="0" borderId="5" xfId="0" applyNumberFormat="1" applyFont="1" applyBorder="1"/>
    <xf numFmtId="165" fontId="0" fillId="0" borderId="1" xfId="0" applyNumberFormat="1" applyFill="1" applyBorder="1" applyAlignment="1"/>
    <xf numFmtId="165" fontId="0" fillId="0" borderId="2" xfId="0" applyNumberFormat="1" applyFill="1" applyBorder="1" applyAlignment="1"/>
    <xf numFmtId="165" fontId="0" fillId="0" borderId="3" xfId="0" applyNumberFormat="1" applyFill="1" applyBorder="1" applyAlignment="1"/>
    <xf numFmtId="165" fontId="0" fillId="0" borderId="4" xfId="0" applyNumberFormat="1" applyFill="1" applyBorder="1" applyAlignment="1"/>
    <xf numFmtId="165" fontId="0" fillId="0" borderId="5" xfId="0" applyNumberFormat="1" applyFill="1" applyBorder="1" applyAlignment="1"/>
    <xf numFmtId="165" fontId="0" fillId="0" borderId="6" xfId="0" applyNumberFormat="1" applyFill="1" applyBorder="1" applyAlignment="1"/>
    <xf numFmtId="165" fontId="0" fillId="0" borderId="8" xfId="0" applyNumberFormat="1" applyFill="1" applyBorder="1" applyAlignment="1"/>
    <xf numFmtId="164" fontId="0" fillId="0" borderId="5" xfId="0" applyNumberFormat="1" applyFill="1" applyBorder="1" applyAlignment="1"/>
    <xf numFmtId="165" fontId="0" fillId="0" borderId="1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2" borderId="12" xfId="0" applyFont="1" applyFill="1" applyBorder="1"/>
    <xf numFmtId="0" fontId="1" fillId="2" borderId="14" xfId="0" applyFont="1" applyFill="1" applyBorder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8" fillId="0" borderId="0" xfId="0" applyFont="1" applyBorder="1"/>
    <xf numFmtId="0" fontId="9" fillId="0" borderId="0" xfId="0" applyFont="1" applyFill="1" applyAlignment="1">
      <alignment horizontal="center"/>
    </xf>
    <xf numFmtId="0" fontId="8" fillId="0" borderId="0" xfId="0" applyFont="1"/>
    <xf numFmtId="0" fontId="9" fillId="0" borderId="5" xfId="0" applyFont="1" applyFill="1" applyBorder="1" applyAlignment="1">
      <alignment horizontal="center"/>
    </xf>
    <xf numFmtId="0" fontId="8" fillId="0" borderId="6" xfId="0" applyFont="1" applyBorder="1"/>
    <xf numFmtId="0" fontId="0" fillId="0" borderId="4" xfId="0" applyFill="1" applyBorder="1"/>
    <xf numFmtId="9" fontId="0" fillId="0" borderId="4" xfId="1" applyFont="1" applyBorder="1"/>
    <xf numFmtId="0" fontId="1" fillId="8" borderId="1" xfId="3" applyFont="1" applyFill="1" applyBorder="1"/>
    <xf numFmtId="0" fontId="1" fillId="8" borderId="6" xfId="3" applyFont="1" applyFill="1" applyBorder="1"/>
    <xf numFmtId="0" fontId="10" fillId="7" borderId="12" xfId="2" applyFont="1" applyFill="1" applyBorder="1"/>
    <xf numFmtId="0" fontId="10" fillId="7" borderId="16" xfId="2" applyFont="1" applyFill="1" applyBorder="1"/>
    <xf numFmtId="0" fontId="10" fillId="9" borderId="4" xfId="2" applyFont="1" applyFill="1" applyBorder="1"/>
    <xf numFmtId="0" fontId="0" fillId="10" borderId="4" xfId="0" applyFill="1" applyBorder="1"/>
    <xf numFmtId="0" fontId="7" fillId="10" borderId="4" xfId="0" applyFont="1" applyFill="1" applyBorder="1"/>
    <xf numFmtId="0" fontId="10" fillId="7" borderId="1" xfId="2" applyFont="1" applyFill="1" applyBorder="1"/>
    <xf numFmtId="0" fontId="0" fillId="0" borderId="5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0" fillId="7" borderId="3" xfId="2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7" borderId="17" xfId="2" applyFont="1" applyFill="1" applyBorder="1" applyAlignment="1">
      <alignment horizontal="center"/>
    </xf>
    <xf numFmtId="0" fontId="10" fillId="9" borderId="5" xfId="2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1" fillId="8" borderId="3" xfId="3" applyFont="1" applyFill="1" applyBorder="1" applyAlignment="1">
      <alignment horizontal="center"/>
    </xf>
    <xf numFmtId="0" fontId="1" fillId="8" borderId="8" xfId="3" applyFont="1" applyFill="1" applyBorder="1" applyAlignment="1">
      <alignment horizontal="center"/>
    </xf>
    <xf numFmtId="0" fontId="9" fillId="7" borderId="14" xfId="4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5" xfId="1" applyFont="1" applyBorder="1" applyAlignment="1">
      <alignment horizontal="center"/>
    </xf>
    <xf numFmtId="0" fontId="11" fillId="0" borderId="0" xfId="0" applyFont="1"/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2" fillId="0" borderId="0" xfId="0" applyFont="1"/>
  </cellXfs>
  <cellStyles count="5">
    <cellStyle name="40 % - Aksentti4" xfId="3" builtinId="43"/>
    <cellStyle name="60 % - Aksentti4" xfId="4" builtinId="44"/>
    <cellStyle name="Normaali" xfId="0" builtinId="0"/>
    <cellStyle name="Prosenttia" xfId="1" builtinId="5"/>
    <cellStyle name="Tulostus" xfId="2" builtinId="21"/>
  </cellStyles>
  <dxfs count="10">
    <dxf>
      <fill>
        <patternFill>
          <bgColor rgb="FFFFC9C9"/>
        </patternFill>
      </fill>
    </dxf>
    <dxf>
      <fill>
        <patternFill>
          <bgColor rgb="FFFFFF93"/>
        </patternFill>
      </fill>
    </dxf>
    <dxf>
      <fill>
        <patternFill>
          <bgColor rgb="FFFFD757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C9C9"/>
        </patternFill>
      </fill>
    </dxf>
    <dxf>
      <fill>
        <patternFill>
          <bgColor rgb="FFFFFF93"/>
        </patternFill>
      </fill>
    </dxf>
    <dxf>
      <fill>
        <patternFill>
          <bgColor rgb="FFFFD757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377346</xdr:colOff>
      <xdr:row>0</xdr:row>
      <xdr:rowOff>38100</xdr:rowOff>
    </xdr:from>
    <xdr:to>
      <xdr:col>11</xdr:col>
      <xdr:colOff>708139</xdr:colOff>
      <xdr:row>6</xdr:row>
      <xdr:rowOff>58644</xdr:rowOff>
    </xdr:to>
    <xdr:pic>
      <xdr:nvPicPr>
        <xdr:cNvPr id="2" name="Kuva 1" descr="http://www.metsa.fi/documents/10739/7207858/freshabit_logo_710x358.png/15dc1573-a1fc-4558-9b23-d838a98331bb?t=14652801313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6026" y="38100"/>
          <a:ext cx="2266273" cy="1117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</xdr:colOff>
      <xdr:row>5</xdr:row>
      <xdr:rowOff>40802</xdr:rowOff>
    </xdr:from>
    <xdr:to>
      <xdr:col>7</xdr:col>
      <xdr:colOff>457614</xdr:colOff>
      <xdr:row>10</xdr:row>
      <xdr:rowOff>167795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955202"/>
          <a:ext cx="2774094" cy="1041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25</xdr:row>
      <xdr:rowOff>0</xdr:rowOff>
    </xdr:from>
    <xdr:to>
      <xdr:col>32</xdr:col>
      <xdr:colOff>4697</xdr:colOff>
      <xdr:row>33</xdr:row>
      <xdr:rowOff>152400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435" y="4482353"/>
          <a:ext cx="7319897" cy="1586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0"/>
  <sheetViews>
    <sheetView tabSelected="1" zoomScaleNormal="100" workbookViewId="0">
      <selection activeCell="G16" sqref="G16"/>
    </sheetView>
  </sheetViews>
  <sheetFormatPr defaultRowHeight="15" x14ac:dyDescent="0.25"/>
  <cols>
    <col min="1" max="1" width="5.7109375" customWidth="1"/>
    <col min="2" max="2" width="59" customWidth="1"/>
    <col min="3" max="3" width="11.28515625" style="95" customWidth="1"/>
    <col min="4" max="8" width="8.85546875" customWidth="1"/>
    <col min="10" max="10" width="10.42578125" customWidth="1"/>
    <col min="12" max="12" width="10.7109375" customWidth="1"/>
  </cols>
  <sheetData>
    <row r="2" spans="2:12" x14ac:dyDescent="0.25">
      <c r="B2" s="84" t="s">
        <v>41</v>
      </c>
      <c r="C2" s="103"/>
    </row>
    <row r="3" spans="2:12" x14ac:dyDescent="0.25">
      <c r="B3" s="85" t="s">
        <v>55</v>
      </c>
      <c r="C3" s="104"/>
    </row>
    <row r="4" spans="2:12" x14ac:dyDescent="0.25">
      <c r="B4" s="9"/>
    </row>
    <row r="5" spans="2:12" x14ac:dyDescent="0.25">
      <c r="B5" s="86" t="s">
        <v>43</v>
      </c>
      <c r="C5" s="105"/>
    </row>
    <row r="6" spans="2:12" x14ac:dyDescent="0.25">
      <c r="B6" s="16"/>
      <c r="C6" s="92"/>
      <c r="D6" s="13"/>
      <c r="E6" s="14"/>
      <c r="F6" s="14"/>
      <c r="G6" s="14"/>
      <c r="H6" s="15"/>
    </row>
    <row r="7" spans="2:12" x14ac:dyDescent="0.25">
      <c r="B7" s="89" t="s">
        <v>37</v>
      </c>
      <c r="C7" s="113" t="s">
        <v>59</v>
      </c>
      <c r="D7" s="16"/>
      <c r="E7" s="1"/>
      <c r="F7" s="1"/>
      <c r="G7" s="1"/>
      <c r="H7" s="17"/>
    </row>
    <row r="8" spans="2:12" x14ac:dyDescent="0.25">
      <c r="B8" s="89" t="s">
        <v>57</v>
      </c>
      <c r="C8" s="114">
        <v>50</v>
      </c>
      <c r="D8" s="16"/>
      <c r="E8" s="1"/>
      <c r="F8" s="1"/>
      <c r="G8" s="1"/>
      <c r="H8" s="17"/>
      <c r="J8" s="101" t="s">
        <v>60</v>
      </c>
    </row>
    <row r="9" spans="2:12" x14ac:dyDescent="0.25">
      <c r="B9" s="89" t="s">
        <v>58</v>
      </c>
      <c r="C9" s="113">
        <v>1.04</v>
      </c>
      <c r="D9" s="16"/>
      <c r="E9" s="1"/>
      <c r="F9" s="1"/>
      <c r="G9" s="1"/>
      <c r="H9" s="17"/>
      <c r="J9" s="102"/>
    </row>
    <row r="10" spans="2:12" x14ac:dyDescent="0.25">
      <c r="B10" s="90" t="s">
        <v>56</v>
      </c>
      <c r="C10" s="113">
        <v>14</v>
      </c>
      <c r="D10" s="16"/>
      <c r="E10" s="1"/>
      <c r="F10" s="1"/>
      <c r="G10" s="1"/>
      <c r="H10" s="17"/>
      <c r="J10" s="115" t="s">
        <v>61</v>
      </c>
    </row>
    <row r="11" spans="2:12" x14ac:dyDescent="0.25">
      <c r="B11" s="18"/>
      <c r="C11" s="93"/>
      <c r="D11" s="18"/>
      <c r="E11" s="19"/>
      <c r="F11" s="19"/>
      <c r="G11" s="19"/>
      <c r="H11" s="20"/>
      <c r="J11" s="115" t="s">
        <v>62</v>
      </c>
      <c r="K11" s="101"/>
      <c r="L11" s="101"/>
    </row>
    <row r="12" spans="2:12" x14ac:dyDescent="0.25">
      <c r="B12" s="1"/>
      <c r="C12" s="94"/>
      <c r="J12" s="115" t="s">
        <v>63</v>
      </c>
    </row>
    <row r="13" spans="2:12" x14ac:dyDescent="0.25">
      <c r="B13" s="91" t="s">
        <v>45</v>
      </c>
      <c r="C13" s="96"/>
      <c r="F13" s="110"/>
      <c r="G13" s="110"/>
    </row>
    <row r="14" spans="2:12" x14ac:dyDescent="0.25">
      <c r="B14" s="16"/>
      <c r="C14" s="92"/>
      <c r="F14" s="110"/>
      <c r="G14" s="110"/>
    </row>
    <row r="15" spans="2:12" x14ac:dyDescent="0.25">
      <c r="B15" s="89" t="s">
        <v>37</v>
      </c>
      <c r="C15" s="108" t="str">
        <f>C7</f>
        <v>TESTIPURO</v>
      </c>
    </row>
    <row r="16" spans="2:12" x14ac:dyDescent="0.25">
      <c r="B16" s="89" t="s">
        <v>49</v>
      </c>
      <c r="C16" s="106">
        <f>Laskentapohja!$G$37</f>
        <v>3.9111780564474898</v>
      </c>
    </row>
    <row r="17" spans="2:4" x14ac:dyDescent="0.25">
      <c r="B17" s="89" t="s">
        <v>48</v>
      </c>
      <c r="C17" s="107" t="str">
        <f>IF(C16&gt;4.5,"Luokka 5",IF(C16&gt;3.5,"Luokka 4",IF(C16&gt;2.5,"Luokka 3",IF(C16&gt;1.5,"Luokka 2",IF(C16&gt;0,"Luokka 1")))))</f>
        <v>Luokka 4</v>
      </c>
      <c r="D17" s="78"/>
    </row>
    <row r="18" spans="2:4" x14ac:dyDescent="0.25">
      <c r="B18" s="82"/>
      <c r="C18" s="80"/>
      <c r="D18" s="78"/>
    </row>
    <row r="19" spans="2:4" x14ac:dyDescent="0.25">
      <c r="B19" s="81" t="s">
        <v>42</v>
      </c>
      <c r="C19" s="97"/>
    </row>
    <row r="20" spans="2:4" x14ac:dyDescent="0.25">
      <c r="B20" s="79"/>
    </row>
    <row r="21" spans="2:4" x14ac:dyDescent="0.25">
      <c r="B21" s="87" t="s">
        <v>46</v>
      </c>
      <c r="C21" s="98"/>
    </row>
    <row r="22" spans="2:4" x14ac:dyDescent="0.25">
      <c r="B22" s="88"/>
      <c r="C22" s="99"/>
    </row>
    <row r="23" spans="2:4" x14ac:dyDescent="0.25">
      <c r="B23" s="89" t="s">
        <v>37</v>
      </c>
      <c r="C23" s="108" t="str">
        <f>C7</f>
        <v>TESTIPURO</v>
      </c>
    </row>
    <row r="24" spans="2:4" x14ac:dyDescent="0.25">
      <c r="B24" s="89" t="s">
        <v>50</v>
      </c>
      <c r="C24" s="109">
        <f>Laskentapohja!$O$37</f>
        <v>9.948818150507222E-4</v>
      </c>
    </row>
    <row r="25" spans="2:4" x14ac:dyDescent="0.25">
      <c r="B25" s="89" t="s">
        <v>51</v>
      </c>
      <c r="C25" s="109">
        <f>Laskentapohja!$P$37</f>
        <v>1.2931460073402071E-2</v>
      </c>
    </row>
    <row r="26" spans="2:4" x14ac:dyDescent="0.25">
      <c r="B26" s="89" t="s">
        <v>52</v>
      </c>
      <c r="C26" s="109">
        <f>Laskentapohja!$Q$37</f>
        <v>0.32176398673574891</v>
      </c>
    </row>
    <row r="27" spans="2:4" x14ac:dyDescent="0.25">
      <c r="B27" s="89" t="s">
        <v>53</v>
      </c>
      <c r="C27" s="109">
        <f>Laskentapohja!$R$37</f>
        <v>0.63106575481784477</v>
      </c>
    </row>
    <row r="28" spans="2:4" x14ac:dyDescent="0.25">
      <c r="B28" s="89" t="s">
        <v>54</v>
      </c>
      <c r="C28" s="109">
        <f>Laskentapohja!$S$37</f>
        <v>3.3243916557953668E-2</v>
      </c>
    </row>
    <row r="29" spans="2:4" x14ac:dyDescent="0.25">
      <c r="B29" s="83"/>
      <c r="C29" s="100"/>
    </row>
    <row r="30" spans="2:4" x14ac:dyDescent="0.25">
      <c r="B30" s="81" t="s">
        <v>44</v>
      </c>
      <c r="C30" s="97"/>
    </row>
  </sheetData>
  <sheetProtection sheet="1" objects="1" scenarios="1"/>
  <conditionalFormatting sqref="C16">
    <cfRule type="cellIs" dxfId="9" priority="11" stopIfTrue="1" operator="greaterThan">
      <formula>4.5</formula>
    </cfRule>
    <cfRule type="cellIs" dxfId="8" priority="12" stopIfTrue="1" operator="greaterThan">
      <formula>3.5</formula>
    </cfRule>
    <cfRule type="cellIs" dxfId="7" priority="13" stopIfTrue="1" operator="greaterThan">
      <formula>2.5</formula>
    </cfRule>
    <cfRule type="cellIs" dxfId="6" priority="14" stopIfTrue="1" operator="greaterThan">
      <formula>1.5</formula>
    </cfRule>
    <cfRule type="cellIs" dxfId="5" priority="15" operator="greaterThanOrEqual">
      <formula>0</formula>
    </cfRule>
  </conditionalFormatting>
  <conditionalFormatting sqref="C17:D18">
    <cfRule type="cellIs" dxfId="4" priority="6" stopIfTrue="1" operator="equal">
      <formula>"Luokka 5"</formula>
    </cfRule>
    <cfRule type="cellIs" dxfId="3" priority="7" stopIfTrue="1" operator="equal">
      <formula>"Luokka 4"</formula>
    </cfRule>
    <cfRule type="cellIs" dxfId="2" priority="8" stopIfTrue="1" operator="equal">
      <formula>"Luokka 3"</formula>
    </cfRule>
    <cfRule type="cellIs" dxfId="1" priority="9" stopIfTrue="1" operator="equal">
      <formula>"Luokka 2"</formula>
    </cfRule>
    <cfRule type="cellIs" dxfId="0" priority="10" operator="equal">
      <formula>"Luokka 1"</formula>
    </cfRule>
  </conditionalFormatting>
  <conditionalFormatting sqref="C24:C29">
    <cfRule type="iconSet" priority="5">
      <iconSet>
        <cfvo type="percent" val="0"/>
        <cfvo type="percent" val="33"/>
        <cfvo type="percent" val="67"/>
      </iconSet>
    </cfRule>
  </conditionalFormatting>
  <conditionalFormatting sqref="B29">
    <cfRule type="iconSet" priority="4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topLeftCell="J10" zoomScale="85" zoomScaleNormal="85" workbookViewId="0">
      <selection activeCell="S45" sqref="S45"/>
    </sheetView>
  </sheetViews>
  <sheetFormatPr defaultRowHeight="15" x14ac:dyDescent="0.25"/>
  <cols>
    <col min="2" max="2" width="16.140625" customWidth="1"/>
    <col min="3" max="3" width="14.28515625" customWidth="1"/>
    <col min="4" max="4" width="12" customWidth="1"/>
    <col min="5" max="5" width="12.140625" customWidth="1"/>
    <col min="7" max="7" width="9" bestFit="1" customWidth="1"/>
    <col min="8" max="8" width="12.28515625" bestFit="1" customWidth="1"/>
    <col min="9" max="12" width="10.5703125" bestFit="1" customWidth="1"/>
    <col min="13" max="13" width="11.85546875" customWidth="1"/>
    <col min="14" max="14" width="10.7109375" customWidth="1"/>
    <col min="16" max="16" width="10.28515625" customWidth="1"/>
  </cols>
  <sheetData>
    <row r="1" spans="1:14" x14ac:dyDescent="0.25">
      <c r="A1" s="9" t="s">
        <v>26</v>
      </c>
      <c r="E1" s="110" t="s">
        <v>47</v>
      </c>
    </row>
    <row r="3" spans="1:14" x14ac:dyDescent="0.25">
      <c r="A3" s="9" t="s">
        <v>6</v>
      </c>
      <c r="G3" s="9" t="s">
        <v>35</v>
      </c>
    </row>
    <row r="4" spans="1:14" x14ac:dyDescent="0.25">
      <c r="B4" s="13"/>
      <c r="C4" s="14" t="s">
        <v>0</v>
      </c>
      <c r="D4" s="14" t="s">
        <v>1</v>
      </c>
      <c r="E4" s="15" t="s">
        <v>3</v>
      </c>
      <c r="G4" s="13"/>
      <c r="H4" s="22">
        <v>1</v>
      </c>
      <c r="I4" s="22">
        <v>2</v>
      </c>
      <c r="J4" s="22">
        <v>3</v>
      </c>
      <c r="K4" s="22">
        <v>4</v>
      </c>
      <c r="L4" s="15">
        <v>5</v>
      </c>
    </row>
    <row r="5" spans="1:14" x14ac:dyDescent="0.25">
      <c r="B5" s="16">
        <v>1</v>
      </c>
      <c r="C5" s="47">
        <v>80.22114960894443</v>
      </c>
      <c r="D5" s="47">
        <v>1.2123028068079213E-2</v>
      </c>
      <c r="E5" s="66">
        <v>0.53811805248874645</v>
      </c>
      <c r="G5" s="16" t="s">
        <v>0</v>
      </c>
      <c r="H5" s="47">
        <v>80.22114960894443</v>
      </c>
      <c r="I5" s="47">
        <v>75.827311506777633</v>
      </c>
      <c r="J5" s="47">
        <v>65.627980855084658</v>
      </c>
      <c r="K5" s="47">
        <v>52.08806582564808</v>
      </c>
      <c r="L5" s="35">
        <v>21.892382613934668</v>
      </c>
    </row>
    <row r="6" spans="1:14" x14ac:dyDescent="0.25">
      <c r="B6" s="16">
        <v>2</v>
      </c>
      <c r="C6" s="47">
        <v>75.827311506777633</v>
      </c>
      <c r="D6" s="47">
        <v>1.7786793813786131E-2</v>
      </c>
      <c r="E6" s="66">
        <v>1.1089570450459634</v>
      </c>
      <c r="G6" s="16" t="s">
        <v>1</v>
      </c>
      <c r="H6" s="47">
        <v>1.2123028068079213E-2</v>
      </c>
      <c r="I6" s="47">
        <v>1.7786793813786131E-2</v>
      </c>
      <c r="J6" s="47">
        <v>2.8815796504791099E-2</v>
      </c>
      <c r="K6" s="47">
        <v>3.1822187664123848E-2</v>
      </c>
      <c r="L6" s="35">
        <v>2.9700592079153893E-2</v>
      </c>
    </row>
    <row r="7" spans="1:14" x14ac:dyDescent="0.25">
      <c r="B7" s="16">
        <v>3</v>
      </c>
      <c r="C7" s="47">
        <v>65.627980855084658</v>
      </c>
      <c r="D7" s="47">
        <v>2.8815796504791099E-2</v>
      </c>
      <c r="E7" s="66">
        <v>1.7560166506066148</v>
      </c>
      <c r="G7" s="18" t="s">
        <v>3</v>
      </c>
      <c r="H7" s="48">
        <v>0.53811805248874645</v>
      </c>
      <c r="I7" s="48">
        <v>1.1089570450459634</v>
      </c>
      <c r="J7" s="48">
        <v>1.7560166506066148</v>
      </c>
      <c r="K7" s="48">
        <v>2.2914726863509358</v>
      </c>
      <c r="L7" s="49">
        <v>3.0762305823300302</v>
      </c>
    </row>
    <row r="8" spans="1:14" x14ac:dyDescent="0.25">
      <c r="B8" s="16">
        <v>4</v>
      </c>
      <c r="C8" s="34">
        <v>52.08806582564808</v>
      </c>
      <c r="D8" s="34">
        <v>3.1822187664123848E-2</v>
      </c>
      <c r="E8" s="35">
        <v>2.2914726863509358</v>
      </c>
      <c r="H8" s="1"/>
      <c r="I8" s="1"/>
      <c r="J8" s="1"/>
      <c r="K8" s="1"/>
      <c r="L8" s="1"/>
    </row>
    <row r="9" spans="1:14" x14ac:dyDescent="0.25">
      <c r="B9" s="18">
        <v>5</v>
      </c>
      <c r="C9" s="56">
        <v>21.892382613934668</v>
      </c>
      <c r="D9" s="56">
        <v>2.9700592079153893E-2</v>
      </c>
      <c r="E9" s="49">
        <v>3.0762305823300302</v>
      </c>
    </row>
    <row r="11" spans="1:14" x14ac:dyDescent="0.25">
      <c r="A11" s="9" t="s">
        <v>8</v>
      </c>
      <c r="L11" s="9"/>
      <c r="M11" s="9"/>
    </row>
    <row r="12" spans="1:14" x14ac:dyDescent="0.25">
      <c r="B12" s="5"/>
      <c r="C12" s="6" t="s">
        <v>0</v>
      </c>
      <c r="D12" s="6" t="s">
        <v>1</v>
      </c>
      <c r="E12" s="7" t="s">
        <v>2</v>
      </c>
      <c r="G12" s="9" t="s">
        <v>4</v>
      </c>
      <c r="K12" s="9" t="s">
        <v>16</v>
      </c>
    </row>
    <row r="13" spans="1:14" x14ac:dyDescent="0.25">
      <c r="B13" s="2" t="s">
        <v>0</v>
      </c>
      <c r="C13" s="59">
        <v>634.11115666775777</v>
      </c>
      <c r="D13" s="60">
        <v>-6.1866912345836439E-2</v>
      </c>
      <c r="E13" s="61">
        <v>-19.82344833145817</v>
      </c>
      <c r="G13" s="67">
        <f t="array" ref="G13:I15">MINVERSE(C13:E15)</f>
        <v>2.2821621686773901E-3</v>
      </c>
      <c r="H13" s="50">
        <v>0.50965875692271034</v>
      </c>
      <c r="I13" s="51">
        <v>2.0965750856930834E-2</v>
      </c>
      <c r="K13" s="13">
        <v>1</v>
      </c>
      <c r="L13" s="54">
        <f t="array" ref="L13:N13">MMULT(C23:E23,G13:I15)</f>
        <v>-9.6647350311908284E-3</v>
      </c>
      <c r="M13" s="54">
        <v>128.20365889300126</v>
      </c>
      <c r="N13" s="55">
        <v>0.81525012712513389</v>
      </c>
    </row>
    <row r="14" spans="1:14" x14ac:dyDescent="0.25">
      <c r="B14" s="3" t="s">
        <v>1</v>
      </c>
      <c r="C14" s="62">
        <v>-6.1866912345836439E-2</v>
      </c>
      <c r="D14" s="43">
        <v>1.9384108598056351E-4</v>
      </c>
      <c r="E14" s="63">
        <v>2.0222275947312505E-3</v>
      </c>
      <c r="G14" s="68">
        <v>0.50965875692271034</v>
      </c>
      <c r="H14" s="52">
        <v>5324.8183102594539</v>
      </c>
      <c r="I14" s="44">
        <v>-0.31527127347956052</v>
      </c>
      <c r="K14" s="16">
        <v>2</v>
      </c>
      <c r="L14" s="34">
        <f t="array" ref="L14:N14">MMULT(C24:E24,G13:I15)</f>
        <v>-1.4491939845966903E-2</v>
      </c>
      <c r="M14" s="34">
        <v>100.46446254664606</v>
      </c>
      <c r="N14" s="35">
        <v>0.52576042755929631</v>
      </c>
    </row>
    <row r="15" spans="1:14" x14ac:dyDescent="0.25">
      <c r="B15" s="4" t="s">
        <v>2</v>
      </c>
      <c r="C15" s="64">
        <v>-19.82344833145817</v>
      </c>
      <c r="D15" s="45">
        <v>2.0222275947312505E-3</v>
      </c>
      <c r="E15" s="65">
        <v>2.1086617948636195</v>
      </c>
      <c r="G15" s="69">
        <v>2.096575085693083E-2</v>
      </c>
      <c r="H15" s="53">
        <v>-0.3152712734795613</v>
      </c>
      <c r="I15" s="46">
        <v>0.67163498317341475</v>
      </c>
      <c r="K15" s="16">
        <v>3</v>
      </c>
      <c r="L15" s="34">
        <f t="array" ref="L15:N15">MMULT(C25:E25,G13:I15)</f>
        <v>-1.0402531568204865E-2</v>
      </c>
      <c r="M15" s="34">
        <v>47.139204560929826</v>
      </c>
      <c r="N15" s="35">
        <v>0.30848631334082738</v>
      </c>
    </row>
    <row r="16" spans="1:14" x14ac:dyDescent="0.25">
      <c r="B16" s="1"/>
      <c r="C16" s="11"/>
      <c r="D16" s="11"/>
      <c r="E16" s="11"/>
      <c r="K16" s="16">
        <v>4</v>
      </c>
      <c r="L16" s="34">
        <f t="array" ref="L16:N16">MMULT(C25:E25,G13:I15)</f>
        <v>-1.0402531568204865E-2</v>
      </c>
      <c r="M16" s="34">
        <v>47.139204560929826</v>
      </c>
      <c r="N16" s="35">
        <v>0.30848631334082738</v>
      </c>
    </row>
    <row r="17" spans="1:19" x14ac:dyDescent="0.25">
      <c r="A17" s="9" t="s">
        <v>24</v>
      </c>
      <c r="K17" s="18">
        <v>5</v>
      </c>
      <c r="L17" s="56">
        <f t="array" ref="L17:N17">MMULT(C27:E27,G13:I15)</f>
        <v>6.1278975979298371E-2</v>
      </c>
      <c r="M17" s="56">
        <v>65.13428504610178</v>
      </c>
      <c r="N17" s="49">
        <v>0.33901305845273499</v>
      </c>
    </row>
    <row r="18" spans="1:19" x14ac:dyDescent="0.25">
      <c r="A18" s="72" t="s">
        <v>20</v>
      </c>
      <c r="B18" s="73" t="s">
        <v>21</v>
      </c>
      <c r="C18" s="72" t="s">
        <v>0</v>
      </c>
      <c r="D18" s="74" t="s">
        <v>1</v>
      </c>
      <c r="E18" s="73" t="s">
        <v>36</v>
      </c>
    </row>
    <row r="19" spans="1:19" s="8" customFormat="1" x14ac:dyDescent="0.25">
      <c r="A19" s="28">
        <v>4</v>
      </c>
      <c r="B19" s="8" t="str">
        <f>Puron_arviointi!C7</f>
        <v>TESTIPURO</v>
      </c>
      <c r="C19" s="8">
        <f>Puron_arviointi!$C$8</f>
        <v>50</v>
      </c>
      <c r="D19" s="28">
        <f>LN(Puron_arviointi!$C$9)</f>
        <v>3.9220713153281329E-2</v>
      </c>
      <c r="E19" s="28">
        <f>LN(Puron_arviointi!$C$10+1)</f>
        <v>2.7080502011022101</v>
      </c>
    </row>
    <row r="20" spans="1:19" x14ac:dyDescent="0.25">
      <c r="A20" s="8"/>
      <c r="B20" s="77" t="s">
        <v>38</v>
      </c>
      <c r="C20" s="77"/>
      <c r="D20" s="77">
        <f>EXP(D19)</f>
        <v>1.04</v>
      </c>
      <c r="E20" s="77">
        <f>EXP(E19)</f>
        <v>15</v>
      </c>
      <c r="N20" s="9" t="s">
        <v>22</v>
      </c>
    </row>
    <row r="21" spans="1:19" x14ac:dyDescent="0.25">
      <c r="B21" s="10" t="s">
        <v>5</v>
      </c>
      <c r="D21" s="8"/>
      <c r="E21" s="8"/>
      <c r="G21" s="9" t="s">
        <v>7</v>
      </c>
      <c r="H21" s="9"/>
      <c r="I21" s="9"/>
      <c r="N21" s="5"/>
      <c r="O21" s="70" t="s">
        <v>11</v>
      </c>
      <c r="P21" s="70" t="s">
        <v>12</v>
      </c>
      <c r="Q21" s="70" t="s">
        <v>13</v>
      </c>
      <c r="R21" s="70" t="s">
        <v>14</v>
      </c>
      <c r="S21" s="71" t="s">
        <v>15</v>
      </c>
    </row>
    <row r="22" spans="1:19" x14ac:dyDescent="0.25">
      <c r="B22" s="21"/>
      <c r="C22" s="14" t="s">
        <v>0</v>
      </c>
      <c r="D22" s="14" t="s">
        <v>1</v>
      </c>
      <c r="E22" s="15" t="s">
        <v>3</v>
      </c>
      <c r="G22" s="13"/>
      <c r="H22" s="14">
        <v>1</v>
      </c>
      <c r="I22" s="14">
        <v>2</v>
      </c>
      <c r="J22" s="14">
        <v>3</v>
      </c>
      <c r="K22" s="14">
        <v>4</v>
      </c>
      <c r="L22" s="15">
        <v>5</v>
      </c>
      <c r="N22" s="32" t="s">
        <v>17</v>
      </c>
      <c r="O22" s="34">
        <f t="array" ref="O22">MMULT(L13:N13,H23:H25)</f>
        <v>5.5351392387716851</v>
      </c>
      <c r="P22" s="34">
        <f t="array" ref="P22">MMULT(L14:N14,I23:I25)</f>
        <v>3.3683749328850952</v>
      </c>
      <c r="Q22" s="34">
        <f t="array" ref="Q22">MMULT(L15:N15,J23:J25)</f>
        <v>0.94673937869408942</v>
      </c>
      <c r="R22" s="34">
        <f t="array" ref="R22">MMULT(L16:N16,K23:K25)</f>
        <v>0.49899023889674654</v>
      </c>
      <c r="S22" s="35">
        <f t="array" ref="S22">MMULT(L17:N17,L23:L25)</f>
        <v>2.217674333249287</v>
      </c>
    </row>
    <row r="23" spans="1:19" x14ac:dyDescent="0.25">
      <c r="B23" s="16">
        <v>1</v>
      </c>
      <c r="C23" s="34">
        <f t="shared" ref="C23:E27" si="0">C$19-C5</f>
        <v>-30.22114960894443</v>
      </c>
      <c r="D23" s="34">
        <f t="shared" si="0"/>
        <v>2.7097685085202116E-2</v>
      </c>
      <c r="E23" s="35">
        <f t="shared" si="0"/>
        <v>2.1699321486134635</v>
      </c>
      <c r="G23" s="16" t="s">
        <v>0</v>
      </c>
      <c r="H23" s="34">
        <f>$C19-H5</f>
        <v>-30.22114960894443</v>
      </c>
      <c r="I23" s="34">
        <f>$C19-I5</f>
        <v>-25.827311506777633</v>
      </c>
      <c r="J23" s="34">
        <f>$C19-J5</f>
        <v>-15.627980855084658</v>
      </c>
      <c r="K23" s="34">
        <f>$C19-K5</f>
        <v>-2.08806582564808</v>
      </c>
      <c r="L23" s="35">
        <f>$C19-L5</f>
        <v>28.107617386065332</v>
      </c>
      <c r="N23" s="16" t="s">
        <v>10</v>
      </c>
      <c r="O23" s="57">
        <f>SQRT(O22)</f>
        <v>2.3526876628170781</v>
      </c>
      <c r="P23" s="57">
        <f t="shared" ref="P23:S23" si="1">SQRT(P22)</f>
        <v>1.8353133064643472</v>
      </c>
      <c r="Q23" s="57">
        <f t="shared" si="1"/>
        <v>0.97300533333280836</v>
      </c>
      <c r="R23" s="57">
        <f t="shared" si="1"/>
        <v>0.70639241140937137</v>
      </c>
      <c r="S23" s="58">
        <f t="shared" si="1"/>
        <v>1.4891857954094536</v>
      </c>
    </row>
    <row r="24" spans="1:19" x14ac:dyDescent="0.25">
      <c r="B24" s="16">
        <v>2</v>
      </c>
      <c r="C24" s="34">
        <f t="shared" si="0"/>
        <v>-25.827311506777633</v>
      </c>
      <c r="D24" s="34">
        <f t="shared" si="0"/>
        <v>2.1433919339495199E-2</v>
      </c>
      <c r="E24" s="35">
        <f t="shared" si="0"/>
        <v>1.5990931560562467</v>
      </c>
      <c r="G24" s="16" t="s">
        <v>1</v>
      </c>
      <c r="H24" s="34">
        <f>$D19-H6</f>
        <v>2.7097685085202116E-2</v>
      </c>
      <c r="I24" s="34">
        <f>$D19-I6</f>
        <v>2.1433919339495199E-2</v>
      </c>
      <c r="J24" s="34">
        <f>$D19-J6</f>
        <v>1.040491664849023E-2</v>
      </c>
      <c r="K24" s="34">
        <f>$D19-K6</f>
        <v>7.3985254891574814E-3</v>
      </c>
      <c r="L24" s="35">
        <f>$D19-L6</f>
        <v>9.5201210741274363E-3</v>
      </c>
      <c r="N24" s="16"/>
      <c r="O24" s="34"/>
      <c r="P24" s="34"/>
      <c r="Q24" s="34"/>
      <c r="R24" s="34"/>
      <c r="S24" s="35"/>
    </row>
    <row r="25" spans="1:19" x14ac:dyDescent="0.25">
      <c r="B25" s="16">
        <v>3</v>
      </c>
      <c r="C25" s="34">
        <f t="shared" si="0"/>
        <v>-15.627980855084658</v>
      </c>
      <c r="D25" s="34">
        <f t="shared" si="0"/>
        <v>1.040491664849023E-2</v>
      </c>
      <c r="E25" s="35">
        <f t="shared" si="0"/>
        <v>0.95203355049559524</v>
      </c>
      <c r="G25" s="18" t="s">
        <v>3</v>
      </c>
      <c r="H25" s="56">
        <f>$E19-H7</f>
        <v>2.1699321486134635</v>
      </c>
      <c r="I25" s="56">
        <f>$E19-I7</f>
        <v>1.5990931560562467</v>
      </c>
      <c r="J25" s="56">
        <f>$E19-J7</f>
        <v>0.95203355049559524</v>
      </c>
      <c r="K25" s="56">
        <f>$E19-K7</f>
        <v>0.41657751475127425</v>
      </c>
      <c r="L25" s="49">
        <f>$E19-L7</f>
        <v>-0.36818038122782015</v>
      </c>
      <c r="N25" s="16"/>
      <c r="O25" s="34"/>
      <c r="P25" s="34"/>
      <c r="Q25" s="34"/>
      <c r="R25" s="34"/>
      <c r="S25" s="35"/>
    </row>
    <row r="26" spans="1:19" x14ac:dyDescent="0.25">
      <c r="B26" s="16">
        <v>4</v>
      </c>
      <c r="C26" s="34">
        <f t="shared" si="0"/>
        <v>-2.08806582564808</v>
      </c>
      <c r="D26" s="34">
        <f t="shared" si="0"/>
        <v>7.3985254891574814E-3</v>
      </c>
      <c r="E26" s="35">
        <f t="shared" si="0"/>
        <v>0.41657751475127425</v>
      </c>
      <c r="N26" s="32" t="s">
        <v>18</v>
      </c>
      <c r="O26" s="34">
        <f>EXP(-O22)</f>
        <v>3.9456592089959983E-3</v>
      </c>
      <c r="P26" s="34">
        <f>EXP(-P22)</f>
        <v>3.4445568245639276E-2</v>
      </c>
      <c r="Q26" s="34">
        <f t="shared" ref="Q26:S26" si="2">EXP(-Q22)</f>
        <v>0.38800409755956883</v>
      </c>
      <c r="R26" s="34">
        <f t="shared" si="2"/>
        <v>0.60714342009947897</v>
      </c>
      <c r="S26" s="35">
        <f t="shared" si="2"/>
        <v>0.10886199136445271</v>
      </c>
    </row>
    <row r="27" spans="1:19" x14ac:dyDescent="0.25">
      <c r="B27" s="18">
        <v>5</v>
      </c>
      <c r="C27" s="56">
        <f t="shared" si="0"/>
        <v>28.107617386065332</v>
      </c>
      <c r="D27" s="56">
        <f t="shared" si="0"/>
        <v>9.5201210741274363E-3</v>
      </c>
      <c r="E27" s="49">
        <f t="shared" si="0"/>
        <v>-0.36818038122782015</v>
      </c>
      <c r="N27" s="16"/>
      <c r="O27" s="1"/>
      <c r="P27" s="1"/>
      <c r="Q27" s="1"/>
      <c r="R27" s="1"/>
      <c r="S27" s="17"/>
    </row>
    <row r="28" spans="1:19" x14ac:dyDescent="0.25">
      <c r="N28" s="16"/>
      <c r="O28" s="1"/>
      <c r="P28" s="1"/>
      <c r="Q28" s="1"/>
      <c r="R28" s="1"/>
      <c r="S28" s="17"/>
    </row>
    <row r="29" spans="1:19" x14ac:dyDescent="0.25">
      <c r="B29" s="12"/>
      <c r="C29" s="12"/>
      <c r="D29" s="12"/>
      <c r="E29" s="12"/>
      <c r="N29" s="32" t="s">
        <v>19</v>
      </c>
      <c r="O29" s="34">
        <f>O26/SUM($O26:$S26)</f>
        <v>3.453831114605128E-3</v>
      </c>
      <c r="P29" s="34">
        <f>P26/SUM($O26:$S26)</f>
        <v>3.0151913549907386E-2</v>
      </c>
      <c r="Q29" s="34">
        <f>Q26/SUM($O26:$S26)</f>
        <v>0.33963922218374271</v>
      </c>
      <c r="R29" s="34">
        <f>R26/SUM($O26:$S26)</f>
        <v>0.53146273519677401</v>
      </c>
      <c r="S29" s="35">
        <f>S26/SUM($O26:$S26)</f>
        <v>9.5292297954970906E-2</v>
      </c>
    </row>
    <row r="30" spans="1:19" x14ac:dyDescent="0.25">
      <c r="B30" s="11"/>
      <c r="C30" s="11"/>
      <c r="D30" s="11"/>
      <c r="E30" s="11"/>
      <c r="N30" s="32" t="s">
        <v>9</v>
      </c>
      <c r="O30" s="111">
        <v>0.09</v>
      </c>
      <c r="P30" s="111">
        <v>0.13400000000000001</v>
      </c>
      <c r="Q30" s="111">
        <v>0.29599999999999999</v>
      </c>
      <c r="R30" s="111">
        <v>0.371</v>
      </c>
      <c r="S30" s="112">
        <v>0.109</v>
      </c>
    </row>
    <row r="31" spans="1:19" x14ac:dyDescent="0.25">
      <c r="A31" s="1"/>
      <c r="B31" s="11"/>
      <c r="C31" s="11"/>
      <c r="D31" s="11"/>
      <c r="E31" s="11"/>
      <c r="F31" s="1"/>
      <c r="G31" s="1"/>
      <c r="H31" s="1"/>
      <c r="I31" s="1"/>
      <c r="J31" s="1"/>
      <c r="N31" s="16"/>
      <c r="O31" s="1"/>
      <c r="P31" s="1"/>
      <c r="Q31" s="1"/>
      <c r="R31" s="1"/>
      <c r="S31" s="17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N32" s="37" t="s">
        <v>23</v>
      </c>
      <c r="O32" s="56">
        <f>O29*O30</f>
        <v>3.1084480031446152E-4</v>
      </c>
      <c r="P32" s="56">
        <f t="shared" ref="P32:S32" si="3">P29*P30</f>
        <v>4.0403564156875895E-3</v>
      </c>
      <c r="Q32" s="56">
        <f t="shared" si="3"/>
        <v>0.10053320976638784</v>
      </c>
      <c r="R32" s="56">
        <f t="shared" si="3"/>
        <v>0.19717267475800315</v>
      </c>
      <c r="S32" s="49">
        <f t="shared" si="3"/>
        <v>1.0386860477091829E-2</v>
      </c>
    </row>
    <row r="33" spans="1:19" x14ac:dyDescent="0.25">
      <c r="A33" s="33" t="s">
        <v>25</v>
      </c>
      <c r="B33" s="1"/>
      <c r="C33" s="1"/>
      <c r="D33" s="1"/>
      <c r="E33" s="1"/>
      <c r="F33" s="1"/>
      <c r="G33" s="1"/>
      <c r="H33" s="1"/>
      <c r="I33" s="1"/>
      <c r="J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N34" s="1"/>
      <c r="P34" s="1"/>
      <c r="Q34" s="1"/>
      <c r="R34" s="1"/>
      <c r="S34" s="1"/>
    </row>
    <row r="35" spans="1:19" x14ac:dyDescent="0.25">
      <c r="A35" s="38" t="s">
        <v>24</v>
      </c>
      <c r="B35" s="39"/>
      <c r="C35" s="39"/>
      <c r="D35" s="39"/>
      <c r="E35" s="14"/>
      <c r="F35" s="14"/>
      <c r="G35" s="36" t="s">
        <v>34</v>
      </c>
      <c r="H35" s="14"/>
      <c r="I35" s="14"/>
      <c r="J35" s="15"/>
      <c r="O35" s="33" t="s">
        <v>27</v>
      </c>
      <c r="P35" s="33"/>
      <c r="Q35" s="33"/>
      <c r="R35" s="1"/>
      <c r="S35" s="1"/>
    </row>
    <row r="36" spans="1:19" x14ac:dyDescent="0.25">
      <c r="A36" s="75" t="s">
        <v>20</v>
      </c>
      <c r="B36" s="76" t="s">
        <v>21</v>
      </c>
      <c r="C36" s="76" t="s">
        <v>0</v>
      </c>
      <c r="D36" s="76" t="s">
        <v>1</v>
      </c>
      <c r="E36" s="76" t="s">
        <v>40</v>
      </c>
      <c r="F36" s="1"/>
      <c r="G36" s="24"/>
      <c r="H36" s="1"/>
      <c r="I36" s="1"/>
      <c r="J36" s="17"/>
      <c r="O36" s="40" t="s">
        <v>28</v>
      </c>
      <c r="P36" s="41" t="s">
        <v>29</v>
      </c>
      <c r="Q36" s="41" t="s">
        <v>30</v>
      </c>
      <c r="R36" s="41" t="s">
        <v>31</v>
      </c>
      <c r="S36" s="42" t="s">
        <v>32</v>
      </c>
    </row>
    <row r="37" spans="1:19" x14ac:dyDescent="0.25">
      <c r="A37" s="29">
        <v>4</v>
      </c>
      <c r="B37" s="30" t="s">
        <v>33</v>
      </c>
      <c r="C37" s="30">
        <f>Puron_arviointi!$C$8</f>
        <v>50</v>
      </c>
      <c r="D37" s="31">
        <f>LN(Puron_arviointi!$C$9)</f>
        <v>3.9220713153281329E-2</v>
      </c>
      <c r="E37" s="31">
        <f>LN(Puron_arviointi!$C$10+1)</f>
        <v>2.7080502011022101</v>
      </c>
      <c r="F37" s="19"/>
      <c r="G37" s="23">
        <f>(-0.017*C37)+(24.949*D37)+(0.169*E37)+3.325</f>
        <v>3.9111780564474898</v>
      </c>
      <c r="H37" s="19"/>
      <c r="I37" s="19"/>
      <c r="J37" s="20"/>
      <c r="O37" s="25">
        <f>O32/SUM($O32:$S32)</f>
        <v>9.948818150507222E-4</v>
      </c>
      <c r="P37" s="26">
        <f>P32/SUM($O32:$S32)</f>
        <v>1.2931460073402071E-2</v>
      </c>
      <c r="Q37" s="26">
        <f>Q32/SUM($O32:$S32)</f>
        <v>0.32176398673574891</v>
      </c>
      <c r="R37" s="26">
        <f>R32/SUM($O32:$S32)</f>
        <v>0.63106575481784477</v>
      </c>
      <c r="S37" s="27">
        <f>S32/SUM($O32:$S32)</f>
        <v>3.3243916557953668E-2</v>
      </c>
    </row>
    <row r="38" spans="1:19" x14ac:dyDescent="0.25">
      <c r="A38" s="1"/>
      <c r="B38" s="77" t="s">
        <v>38</v>
      </c>
      <c r="C38" s="77"/>
      <c r="D38" s="77">
        <f>EXP(D37)</f>
        <v>1.04</v>
      </c>
      <c r="E38" s="77">
        <f>EXP(E37)</f>
        <v>15</v>
      </c>
      <c r="F38" s="1"/>
      <c r="G38" s="1"/>
      <c r="H38" s="1"/>
      <c r="I38" s="1"/>
      <c r="J38" s="1"/>
      <c r="N38" s="79" t="s">
        <v>39</v>
      </c>
      <c r="O38" s="79">
        <f>O37*100</f>
        <v>9.9488181505072215E-2</v>
      </c>
      <c r="P38" s="79">
        <f>P37*100</f>
        <v>1.2931460073402072</v>
      </c>
      <c r="Q38" s="79">
        <f>Q37*100</f>
        <v>32.176398673574894</v>
      </c>
      <c r="R38" s="79">
        <f>R37*100</f>
        <v>63.106575481784475</v>
      </c>
      <c r="S38" s="79">
        <f>S37*100</f>
        <v>3.3243916557953668</v>
      </c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9" x14ac:dyDescent="0.25">
      <c r="N40" s="9"/>
    </row>
  </sheetData>
  <sheetProtection password="91DF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Puron_arviointi</vt:lpstr>
      <vt:lpstr>Laskentapohja</vt:lpstr>
    </vt:vector>
  </TitlesOfParts>
  <Company>Ympäristöhallinto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Mykrä Heikki</dc:creator>
  <cp:lastModifiedBy>Routasuo Sirpa</cp:lastModifiedBy>
  <dcterms:created xsi:type="dcterms:W3CDTF">2019-02-28T10:52:10Z</dcterms:created>
  <dcterms:modified xsi:type="dcterms:W3CDTF">2019-12-27T08:55:03Z</dcterms:modified>
</cp:coreProperties>
</file>